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List" sheetId="7" r:id="rId1"/>
  </sheets>
  <calcPr calcId="125725"/>
</workbook>
</file>

<file path=xl/calcChain.xml><?xml version="1.0" encoding="utf-8"?>
<calcChain xmlns="http://schemas.openxmlformats.org/spreadsheetml/2006/main">
  <c r="D21" i="7"/>
  <c r="D20"/>
  <c r="D19"/>
  <c r="D18"/>
  <c r="D17"/>
  <c r="D16"/>
  <c r="D15"/>
  <c r="D14"/>
  <c r="D13"/>
  <c r="D12"/>
  <c r="D11"/>
  <c r="D10"/>
  <c r="D9"/>
  <c r="A51"/>
  <c r="B35" s="1"/>
  <c r="D8"/>
  <c r="A8"/>
  <c r="C8" s="1"/>
  <c r="B38" l="1"/>
  <c r="E20"/>
  <c r="D46" s="1"/>
  <c r="B42"/>
  <c r="E10"/>
  <c r="E21"/>
  <c r="D47" s="1"/>
  <c r="E8"/>
  <c r="E9"/>
  <c r="E16"/>
  <c r="A9"/>
  <c r="B31"/>
  <c r="E12"/>
  <c r="E13"/>
  <c r="E14"/>
  <c r="D41" s="1"/>
  <c r="E17"/>
  <c r="B46"/>
  <c r="E11"/>
  <c r="E15"/>
  <c r="E18"/>
  <c r="E19"/>
  <c r="B45"/>
  <c r="D34" l="1"/>
  <c r="A10"/>
  <c r="C9"/>
  <c r="B32" l="1"/>
  <c r="A11"/>
  <c r="C10"/>
  <c r="A12" l="1"/>
  <c r="C11"/>
  <c r="D33" s="1"/>
  <c r="C12" l="1"/>
  <c r="A13"/>
  <c r="D36" l="1"/>
  <c r="D35"/>
  <c r="C13"/>
  <c r="A14"/>
  <c r="A15" l="1"/>
  <c r="C14"/>
  <c r="B41"/>
  <c r="D40" l="1"/>
  <c r="D39"/>
  <c r="D38"/>
  <c r="D37"/>
  <c r="A16"/>
  <c r="C15"/>
  <c r="C16" l="1"/>
  <c r="D42" s="1"/>
  <c r="A17"/>
  <c r="A18" l="1"/>
  <c r="C17"/>
  <c r="A19" l="1"/>
  <c r="C18"/>
  <c r="D43" l="1"/>
  <c r="D44"/>
  <c r="A20"/>
  <c r="C19"/>
  <c r="A21" l="1"/>
  <c r="C21" s="1"/>
  <c r="C20"/>
  <c r="D45" s="1"/>
</calcChain>
</file>

<file path=xl/sharedStrings.xml><?xml version="1.0" encoding="utf-8"?>
<sst xmlns="http://schemas.openxmlformats.org/spreadsheetml/2006/main" count="80" uniqueCount="66">
  <si>
    <t>M16A4</t>
  </si>
  <si>
    <t>M27</t>
  </si>
  <si>
    <t>FN Minimi PARA</t>
  </si>
  <si>
    <t>HK G36C</t>
  </si>
  <si>
    <t>HK G36KV</t>
  </si>
  <si>
    <t>HK416 D10</t>
  </si>
  <si>
    <t>HK416 D14,5</t>
  </si>
  <si>
    <t>https://rifleshooter.com/2015/12/223-remington-5-56mm-nato-barrel-length-and-velocity-26-inches-to-6-inches/</t>
  </si>
  <si>
    <t>https://ndiastorage.blob.core.usgovcloudapi.net/ndia/2010/armament/WednesdayCumberlandPhilipDater.pdf</t>
  </si>
  <si>
    <t>https://fnamerica.com/products/machine-guns/fn-m249-saw/</t>
  </si>
  <si>
    <t>M249</t>
  </si>
  <si>
    <t>https://fnamerica.com/products/rifles/fn-m249s/</t>
  </si>
  <si>
    <t>M4</t>
  </si>
  <si>
    <t>https://www.colt.com/detail-page/trooper-m4-carb-556mm-16</t>
  </si>
  <si>
    <t>m4a1</t>
  </si>
  <si>
    <t>https://www.colt.com/series/M4_CARBINE_SERIES</t>
  </si>
  <si>
    <t>https://www.colt.com/detail-page/colt-m16a4-rifle-r0901</t>
  </si>
  <si>
    <t>https://www.heckler-koch.com/en/products/military/assault-rifles/g36/g36k/technical-data.html</t>
  </si>
  <si>
    <t>https://www.heckler-koch.com/en/products/military/assault-rifles/g36/g36c/technical-data.html</t>
  </si>
  <si>
    <t>https://www.heckler-koch.com/en/products/military/assault-rifles/g36/g36/technical-data.html</t>
  </si>
  <si>
    <t>https://www.americanspecialops.com/special-ops-weapons/cqbr.php</t>
  </si>
  <si>
    <t>https://hs-produkt.hr/products/vhs-d2-cal-5-56x45/</t>
  </si>
  <si>
    <t>https://hs-produkt.hr/products/vhs-k2-cal-5-56x45/</t>
  </si>
  <si>
    <t>Weapon</t>
  </si>
  <si>
    <t>HK G36</t>
  </si>
  <si>
    <t>https://en.wikipedia.org/wiki/Zastava_M21</t>
  </si>
  <si>
    <t>https://en.wikipedia.org/wiki/M27_Infantry_Automatic_Rifle</t>
  </si>
  <si>
    <t>Good</t>
  </si>
  <si>
    <t>Too low</t>
  </si>
  <si>
    <t>Too high</t>
  </si>
  <si>
    <t>Excelent</t>
  </si>
  <si>
    <t>Barrel length, mm</t>
  </si>
  <si>
    <t>Barrel length, inches</t>
  </si>
  <si>
    <t>Muzzile velocity, m/s</t>
  </si>
  <si>
    <t>Muzzile velocity, f/s</t>
  </si>
  <si>
    <t>InitSpeed in RHS</t>
  </si>
  <si>
    <t>InitSpeed expected</t>
  </si>
  <si>
    <t>Barrel length data sources</t>
  </si>
  <si>
    <t>https://fnamerica.com/products/machine-guns/fn-m249-para/</t>
  </si>
  <si>
    <t>For RHS we have table 2.</t>
  </si>
  <si>
    <t xml:space="preserve">Study 1: </t>
  </si>
  <si>
    <t>Study 2 (not used, only for compare data):</t>
  </si>
  <si>
    <t>"Para" - mean paratroopers. So, it version has short barrel.</t>
  </si>
  <si>
    <t>I took M16A4 as basic weapon with standart muzzile velocity = 908 m/s and standart InitSpeed =-1.</t>
  </si>
  <si>
    <t>It always has -1 InitSpeed untill it basic weapon.</t>
  </si>
  <si>
    <t>D14,5 - means 14,5 inch barrel length.</t>
  </si>
  <si>
    <t>D10 - means 10 inch barrel length.</t>
  </si>
  <si>
    <t>Conclusion about InitSpeed</t>
  </si>
  <si>
    <t>Not in RHS. Added to explain the reasons for such a short barrel length HK G36C and HK G36K.</t>
  </si>
  <si>
    <t>Inch to mm conversion factor</t>
  </si>
  <si>
    <t>InitSpeed for other weapon calculated according with standard value.</t>
  </si>
  <si>
    <t>Note, measurement on study 1 done with freezed m855 round at 2 meters from muzzle, not m855A1 . Then velocity for M16A4 only 908 m/s for study 1.</t>
  </si>
  <si>
    <t>Sorry for wiki. I didn't find better source.</t>
  </si>
  <si>
    <t>VHS-K2</t>
  </si>
  <si>
    <t>VHS-D2</t>
  </si>
  <si>
    <t>M249 Short</t>
  </si>
  <si>
    <t>MK 18</t>
  </si>
  <si>
    <t>M21A</t>
  </si>
  <si>
    <t>m21S</t>
  </si>
  <si>
    <t>21 inch barrel has lower velocity, therefore 20,5 inch is max barrel length.</t>
  </si>
  <si>
    <t>Potential InitSpeed</t>
  </si>
  <si>
    <t>Graph 1</t>
  </si>
  <si>
    <t>Table 1 and graph 1 ploted according with study 1. Barrel length = 20 inches used as standart with InitSpeed = -1</t>
  </si>
  <si>
    <t>Table 2</t>
  </si>
  <si>
    <t>Table 1</t>
  </si>
  <si>
    <t>5.56 muzzle velocity study</t>
  </si>
</sst>
</file>

<file path=xl/styles.xml><?xml version="1.0" encoding="utf-8"?>
<styleSheet xmlns="http://schemas.openxmlformats.org/spreadsheetml/2006/main">
  <numFmts count="1">
    <numFmt numFmtId="165" formatCode="0.00000"/>
  </numFmts>
  <fonts count="3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1" fontId="0" fillId="0" borderId="0" xfId="0" applyNumberFormat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0" borderId="5" xfId="0" applyBorder="1"/>
    <xf numFmtId="1" fontId="0" fillId="0" borderId="2" xfId="0" applyNumberFormat="1" applyBorder="1"/>
    <xf numFmtId="1" fontId="0" fillId="0" borderId="0" xfId="0" applyNumberFormat="1" applyBorder="1"/>
    <xf numFmtId="0" fontId="0" fillId="0" borderId="4" xfId="0" applyFill="1" applyBorder="1"/>
    <xf numFmtId="0" fontId="0" fillId="0" borderId="2" xfId="0" applyBorder="1"/>
    <xf numFmtId="0" fontId="0" fillId="0" borderId="7" xfId="0" applyBorder="1"/>
    <xf numFmtId="0" fontId="0" fillId="0" borderId="0" xfId="0" applyBorder="1"/>
    <xf numFmtId="0" fontId="0" fillId="0" borderId="11" xfId="0" applyBorder="1"/>
    <xf numFmtId="0" fontId="0" fillId="0" borderId="10" xfId="0" applyBorder="1"/>
    <xf numFmtId="1" fontId="0" fillId="0" borderId="7" xfId="0" applyNumberFormat="1" applyBorder="1"/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5" fontId="0" fillId="0" borderId="2" xfId="0" applyNumberFormat="1" applyBorder="1"/>
    <xf numFmtId="165" fontId="0" fillId="0" borderId="0" xfId="0" applyNumberFormat="1" applyBorder="1"/>
    <xf numFmtId="165" fontId="0" fillId="0" borderId="7" xfId="0" applyNumberFormat="1" applyBorder="1"/>
    <xf numFmtId="0" fontId="1" fillId="0" borderId="0" xfId="1" applyAlignment="1" applyProtection="1"/>
    <xf numFmtId="0" fontId="0" fillId="0" borderId="2" xfId="0" applyNumberFormat="1" applyBorder="1"/>
    <xf numFmtId="0" fontId="0" fillId="0" borderId="0" xfId="0" applyNumberFormat="1" applyBorder="1"/>
    <xf numFmtId="0" fontId="0" fillId="0" borderId="7" xfId="0" applyNumberFormat="1" applyBorder="1"/>
    <xf numFmtId="49" fontId="2" fillId="0" borderId="0" xfId="0" applyNumberFormat="1" applyFont="1"/>
    <xf numFmtId="165" fontId="0" fillId="0" borderId="5" xfId="0" applyNumberFormat="1" applyBorder="1"/>
    <xf numFmtId="165" fontId="0" fillId="0" borderId="8" xfId="0" applyNumberFormat="1" applyBorder="1"/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847725</xdr:colOff>
      <xdr:row>6</xdr:row>
      <xdr:rowOff>28576</xdr:rowOff>
    </xdr:from>
    <xdr:to>
      <xdr:col>12</xdr:col>
      <xdr:colOff>532839</xdr:colOff>
      <xdr:row>20</xdr:row>
      <xdr:rowOff>184770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71975" y="1323976"/>
          <a:ext cx="4771464" cy="3213719"/>
        </a:xfrm>
        <a:prstGeom prst="rect">
          <a:avLst/>
        </a:prstGeom>
        <a:noFill/>
      </xdr:spPr>
    </xdr:pic>
    <xdr:clientData/>
  </xdr:twoCellAnchor>
  <xdr:twoCellAnchor>
    <xdr:from>
      <xdr:col>3</xdr:col>
      <xdr:colOff>523876</xdr:colOff>
      <xdr:row>19</xdr:row>
      <xdr:rowOff>123825</xdr:rowOff>
    </xdr:from>
    <xdr:to>
      <xdr:col>4</xdr:col>
      <xdr:colOff>180975</xdr:colOff>
      <xdr:row>45</xdr:row>
      <xdr:rowOff>95250</xdr:rowOff>
    </xdr:to>
    <xdr:cxnSp macro="">
      <xdr:nvCxnSpPr>
        <xdr:cNvPr id="4" name="Прямая со стрелкой 3"/>
        <xdr:cNvCxnSpPr/>
      </xdr:nvCxnSpPr>
      <xdr:spPr>
        <a:xfrm flipH="1">
          <a:off x="2705101" y="4286250"/>
          <a:ext cx="285749" cy="5391150"/>
        </a:xfrm>
        <a:prstGeom prst="straightConnector1">
          <a:avLst/>
        </a:prstGeom>
        <a:ln>
          <a:tailEnd type="arrow"/>
        </a:ln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</xdr:col>
      <xdr:colOff>304800</xdr:colOff>
      <xdr:row>19</xdr:row>
      <xdr:rowOff>95250</xdr:rowOff>
    </xdr:from>
    <xdr:to>
      <xdr:col>2</xdr:col>
      <xdr:colOff>352425</xdr:colOff>
      <xdr:row>45</xdr:row>
      <xdr:rowOff>95250</xdr:rowOff>
    </xdr:to>
    <xdr:cxnSp macro="">
      <xdr:nvCxnSpPr>
        <xdr:cNvPr id="12" name="Прямая со стрелкой 11"/>
        <xdr:cNvCxnSpPr/>
      </xdr:nvCxnSpPr>
      <xdr:spPr>
        <a:xfrm flipV="1">
          <a:off x="1181100" y="4257675"/>
          <a:ext cx="704850" cy="5419725"/>
        </a:xfrm>
        <a:prstGeom prst="straightConnector1">
          <a:avLst/>
        </a:prstGeom>
        <a:ln>
          <a:tailEnd type="arrow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51"/>
  <sheetViews>
    <sheetView tabSelected="1" zoomScaleNormal="100" workbookViewId="0"/>
  </sheetViews>
  <sheetFormatPr defaultRowHeight="15"/>
  <cols>
    <col min="1" max="1" width="13.140625" customWidth="1"/>
    <col min="2" max="2" width="9.85546875" customWidth="1"/>
    <col min="3" max="3" width="9.7109375" customWidth="1"/>
    <col min="4" max="4" width="9.42578125" customWidth="1"/>
    <col min="5" max="5" width="10.7109375" customWidth="1"/>
    <col min="6" max="6" width="14.28515625" customWidth="1"/>
    <col min="8" max="8" width="12.7109375" customWidth="1"/>
    <col min="9" max="9" width="11.85546875" customWidth="1"/>
    <col min="10" max="10" width="10" customWidth="1"/>
  </cols>
  <sheetData>
    <row r="1" spans="1:5" ht="26.25">
      <c r="B1" s="27" t="s">
        <v>65</v>
      </c>
    </row>
    <row r="2" spans="1:5" ht="15" customHeight="1">
      <c r="B2" s="27"/>
    </row>
    <row r="3" spans="1:5">
      <c r="A3" t="s">
        <v>40</v>
      </c>
      <c r="E3" t="s">
        <v>8</v>
      </c>
    </row>
    <row r="4" spans="1:5">
      <c r="A4" t="s">
        <v>41</v>
      </c>
      <c r="E4" t="s">
        <v>7</v>
      </c>
    </row>
    <row r="5" spans="1:5">
      <c r="A5" t="s">
        <v>62</v>
      </c>
      <c r="C5" s="1"/>
      <c r="D5" s="1"/>
    </row>
    <row r="6" spans="1:5" ht="15.75" thickBot="1">
      <c r="C6" s="1"/>
      <c r="D6" s="1"/>
    </row>
    <row r="7" spans="1:5" ht="45.75" customHeight="1" thickBot="1">
      <c r="A7" s="17" t="s">
        <v>32</v>
      </c>
      <c r="B7" s="18" t="s">
        <v>34</v>
      </c>
      <c r="C7" s="18" t="s">
        <v>31</v>
      </c>
      <c r="D7" s="18" t="s">
        <v>33</v>
      </c>
      <c r="E7" s="19" t="s">
        <v>60</v>
      </c>
    </row>
    <row r="8" spans="1:5">
      <c r="A8" s="4">
        <f>22</f>
        <v>22</v>
      </c>
      <c r="B8" s="13">
        <v>2873</v>
      </c>
      <c r="C8" s="9">
        <f t="shared" ref="C8:C21" si="0">A8*2.54*10</f>
        <v>558.80000000000007</v>
      </c>
      <c r="D8" s="9">
        <f t="shared" ref="D8:D21" si="1">B8*0.3048</f>
        <v>875.69040000000007</v>
      </c>
      <c r="E8" s="28">
        <f t="shared" ref="E8:E21" si="2">D8/$D$10*-1</f>
        <v>-0.96441758979523329</v>
      </c>
    </row>
    <row r="9" spans="1:5">
      <c r="A9" s="4">
        <f t="shared" ref="A9:A21" si="3">A8-1</f>
        <v>21</v>
      </c>
      <c r="B9" s="13">
        <v>2849</v>
      </c>
      <c r="C9" s="9">
        <f t="shared" si="0"/>
        <v>533.40000000000009</v>
      </c>
      <c r="D9" s="9">
        <f t="shared" si="1"/>
        <v>868.37520000000006</v>
      </c>
      <c r="E9" s="28">
        <f t="shared" si="2"/>
        <v>-0.95636119503188988</v>
      </c>
    </row>
    <row r="10" spans="1:5">
      <c r="A10" s="4">
        <f t="shared" si="3"/>
        <v>20</v>
      </c>
      <c r="B10" s="13">
        <v>2979</v>
      </c>
      <c r="C10" s="9">
        <f t="shared" si="0"/>
        <v>508</v>
      </c>
      <c r="D10" s="9">
        <f t="shared" si="1"/>
        <v>907.99920000000009</v>
      </c>
      <c r="E10" s="28">
        <f t="shared" si="2"/>
        <v>-1</v>
      </c>
    </row>
    <row r="11" spans="1:5">
      <c r="A11" s="4">
        <f t="shared" si="3"/>
        <v>19</v>
      </c>
      <c r="B11" s="13">
        <v>2921</v>
      </c>
      <c r="C11" s="9">
        <f t="shared" si="0"/>
        <v>482.59999999999997</v>
      </c>
      <c r="D11" s="9">
        <f t="shared" si="1"/>
        <v>890.32080000000008</v>
      </c>
      <c r="E11" s="28">
        <f t="shared" si="2"/>
        <v>-0.98053037932192011</v>
      </c>
    </row>
    <row r="12" spans="1:5">
      <c r="A12" s="4">
        <f t="shared" si="3"/>
        <v>18</v>
      </c>
      <c r="B12" s="13">
        <v>2889</v>
      </c>
      <c r="C12" s="9">
        <f t="shared" si="0"/>
        <v>457.2</v>
      </c>
      <c r="D12" s="9">
        <f t="shared" si="1"/>
        <v>880.56720000000007</v>
      </c>
      <c r="E12" s="28">
        <f t="shared" si="2"/>
        <v>-0.96978851963746227</v>
      </c>
    </row>
    <row r="13" spans="1:5">
      <c r="A13" s="4">
        <f t="shared" si="3"/>
        <v>17</v>
      </c>
      <c r="B13" s="13">
        <v>2835</v>
      </c>
      <c r="C13" s="9">
        <f t="shared" si="0"/>
        <v>431.8</v>
      </c>
      <c r="D13" s="9">
        <f t="shared" si="1"/>
        <v>864.10800000000006</v>
      </c>
      <c r="E13" s="28">
        <f t="shared" si="2"/>
        <v>-0.95166163141993954</v>
      </c>
    </row>
    <row r="14" spans="1:5">
      <c r="A14" s="4">
        <f t="shared" si="3"/>
        <v>16</v>
      </c>
      <c r="B14" s="13">
        <v>2786</v>
      </c>
      <c r="C14" s="9">
        <f t="shared" si="0"/>
        <v>406.4</v>
      </c>
      <c r="D14" s="9">
        <f t="shared" si="1"/>
        <v>849.17280000000005</v>
      </c>
      <c r="E14" s="28">
        <f t="shared" si="2"/>
        <v>-0.9352131587781134</v>
      </c>
    </row>
    <row r="15" spans="1:5">
      <c r="A15" s="4">
        <f t="shared" si="3"/>
        <v>15</v>
      </c>
      <c r="B15" s="13">
        <v>2729</v>
      </c>
      <c r="C15" s="9">
        <f t="shared" si="0"/>
        <v>381</v>
      </c>
      <c r="D15" s="9">
        <f t="shared" si="1"/>
        <v>831.79920000000004</v>
      </c>
      <c r="E15" s="28">
        <f t="shared" si="2"/>
        <v>-0.91607922121517282</v>
      </c>
    </row>
    <row r="16" spans="1:5">
      <c r="A16" s="4">
        <f t="shared" si="3"/>
        <v>14</v>
      </c>
      <c r="B16" s="13">
        <v>2686</v>
      </c>
      <c r="C16" s="9">
        <f t="shared" si="0"/>
        <v>355.6</v>
      </c>
      <c r="D16" s="9">
        <f t="shared" si="1"/>
        <v>818.69280000000003</v>
      </c>
      <c r="E16" s="28">
        <f t="shared" si="2"/>
        <v>-0.90164484726418259</v>
      </c>
    </row>
    <row r="17" spans="1:19">
      <c r="A17" s="4">
        <f t="shared" si="3"/>
        <v>13</v>
      </c>
      <c r="B17" s="13">
        <v>2649</v>
      </c>
      <c r="C17" s="9">
        <f t="shared" si="0"/>
        <v>330.20000000000005</v>
      </c>
      <c r="D17" s="9">
        <f t="shared" si="1"/>
        <v>807.41520000000003</v>
      </c>
      <c r="E17" s="28">
        <f t="shared" si="2"/>
        <v>-0.88922457200402816</v>
      </c>
    </row>
    <row r="18" spans="1:19">
      <c r="A18" s="4">
        <f t="shared" si="3"/>
        <v>12</v>
      </c>
      <c r="B18" s="13">
        <v>2626</v>
      </c>
      <c r="C18" s="9">
        <f t="shared" si="0"/>
        <v>304.8</v>
      </c>
      <c r="D18" s="9">
        <f t="shared" si="1"/>
        <v>800.40480000000002</v>
      </c>
      <c r="E18" s="28">
        <f t="shared" si="2"/>
        <v>-0.88150386035582406</v>
      </c>
    </row>
    <row r="19" spans="1:19">
      <c r="A19" s="4">
        <f t="shared" si="3"/>
        <v>11</v>
      </c>
      <c r="B19" s="13">
        <v>2643</v>
      </c>
      <c r="C19" s="9">
        <f t="shared" si="0"/>
        <v>279.40000000000003</v>
      </c>
      <c r="D19" s="9">
        <f t="shared" si="1"/>
        <v>805.58640000000003</v>
      </c>
      <c r="E19" s="28">
        <f t="shared" si="2"/>
        <v>-0.88721047331319225</v>
      </c>
    </row>
    <row r="20" spans="1:19">
      <c r="A20" s="4">
        <f t="shared" si="3"/>
        <v>10</v>
      </c>
      <c r="B20" s="13">
        <v>2575</v>
      </c>
      <c r="C20" s="9">
        <f t="shared" si="0"/>
        <v>254</v>
      </c>
      <c r="D20" s="9">
        <f t="shared" si="1"/>
        <v>784.86</v>
      </c>
      <c r="E20" s="28">
        <f t="shared" si="2"/>
        <v>-0.86438402148371929</v>
      </c>
    </row>
    <row r="21" spans="1:19" ht="15.75" thickBot="1">
      <c r="A21" s="5">
        <f t="shared" si="3"/>
        <v>9</v>
      </c>
      <c r="B21" s="12">
        <v>2446</v>
      </c>
      <c r="C21" s="16">
        <f t="shared" si="0"/>
        <v>228.6</v>
      </c>
      <c r="D21" s="16">
        <f t="shared" si="1"/>
        <v>745.54079999999999</v>
      </c>
      <c r="E21" s="29">
        <f t="shared" si="2"/>
        <v>-0.82108089963074848</v>
      </c>
    </row>
    <row r="22" spans="1:19">
      <c r="A22" t="s">
        <v>64</v>
      </c>
      <c r="G22" t="s">
        <v>61</v>
      </c>
    </row>
    <row r="23" spans="1:19">
      <c r="A23" s="23"/>
    </row>
    <row r="25" spans="1:19">
      <c r="A25" t="s">
        <v>39</v>
      </c>
    </row>
    <row r="26" spans="1:19">
      <c r="A26" t="s">
        <v>43</v>
      </c>
    </row>
    <row r="27" spans="1:19">
      <c r="A27" t="s">
        <v>50</v>
      </c>
    </row>
    <row r="28" spans="1:19">
      <c r="A28" t="s">
        <v>51</v>
      </c>
    </row>
    <row r="29" spans="1:19" ht="15.75" thickBot="1"/>
    <row r="30" spans="1:19" ht="50.25" customHeight="1" thickBot="1">
      <c r="A30" s="17" t="s">
        <v>23</v>
      </c>
      <c r="B30" s="18" t="s">
        <v>31</v>
      </c>
      <c r="C30" s="18" t="s">
        <v>35</v>
      </c>
      <c r="D30" s="18" t="s">
        <v>36</v>
      </c>
      <c r="E30" s="19" t="s">
        <v>47</v>
      </c>
      <c r="F30" s="17" t="s">
        <v>37</v>
      </c>
      <c r="G30" s="14"/>
      <c r="H30" s="14"/>
      <c r="I30" s="14"/>
      <c r="J30" s="14"/>
      <c r="K30" s="15"/>
    </row>
    <row r="31" spans="1:19">
      <c r="A31" s="2" t="s">
        <v>10</v>
      </c>
      <c r="B31" s="8">
        <f>20.5*A51</f>
        <v>520.69999999999993</v>
      </c>
      <c r="C31" s="24">
        <v>-1</v>
      </c>
      <c r="D31" s="20">
        <v>-1</v>
      </c>
      <c r="E31" s="3" t="s">
        <v>27</v>
      </c>
      <c r="F31" s="4" t="s">
        <v>9</v>
      </c>
      <c r="G31" s="13"/>
      <c r="H31" s="13"/>
      <c r="I31" s="13"/>
      <c r="J31" s="13"/>
      <c r="K31" s="7"/>
      <c r="L31" s="2" t="s">
        <v>59</v>
      </c>
      <c r="M31" s="11"/>
      <c r="N31" s="11"/>
      <c r="O31" s="11"/>
      <c r="P31" s="11"/>
      <c r="Q31" s="11"/>
      <c r="R31" s="11"/>
      <c r="S31" s="3"/>
    </row>
    <row r="32" spans="1:19">
      <c r="A32" s="4" t="s">
        <v>0</v>
      </c>
      <c r="B32" s="9">
        <f>A10*A51</f>
        <v>508</v>
      </c>
      <c r="C32" s="25">
        <v>-1</v>
      </c>
      <c r="D32" s="21">
        <v>-1</v>
      </c>
      <c r="E32" s="7" t="s">
        <v>30</v>
      </c>
      <c r="F32" s="4" t="s">
        <v>16</v>
      </c>
      <c r="G32" s="13"/>
      <c r="H32" s="13"/>
      <c r="I32" s="13"/>
      <c r="J32" s="13"/>
      <c r="K32" s="7"/>
      <c r="L32" s="4" t="s">
        <v>44</v>
      </c>
      <c r="M32" s="13"/>
      <c r="N32" s="13"/>
      <c r="O32" s="13"/>
      <c r="P32" s="13"/>
      <c r="Q32" s="13"/>
      <c r="R32" s="13"/>
      <c r="S32" s="7"/>
    </row>
    <row r="33" spans="1:19">
      <c r="A33" s="4" t="s">
        <v>54</v>
      </c>
      <c r="B33" s="9">
        <v>500</v>
      </c>
      <c r="C33" s="25">
        <v>0</v>
      </c>
      <c r="D33" s="21">
        <f>(B33-C11)/(C10-C11)*(E10-E11)+E11</f>
        <v>-0.99386783600690398</v>
      </c>
      <c r="E33" s="7" t="s">
        <v>29</v>
      </c>
      <c r="F33" s="4" t="s">
        <v>21</v>
      </c>
      <c r="G33" s="13"/>
      <c r="H33" s="13"/>
      <c r="I33" s="13"/>
      <c r="J33" s="13"/>
      <c r="K33" s="7"/>
      <c r="L33" s="4"/>
      <c r="M33" s="13"/>
      <c r="N33" s="13"/>
      <c r="O33" s="13"/>
      <c r="P33" s="13"/>
      <c r="Q33" s="13"/>
      <c r="R33" s="13"/>
      <c r="S33" s="7"/>
    </row>
    <row r="34" spans="1:19">
      <c r="A34" s="10" t="s">
        <v>24</v>
      </c>
      <c r="B34" s="9">
        <v>480</v>
      </c>
      <c r="C34" s="25"/>
      <c r="D34" s="21">
        <f>E11</f>
        <v>-0.98053037932192011</v>
      </c>
      <c r="E34" s="7"/>
      <c r="F34" s="4" t="s">
        <v>19</v>
      </c>
      <c r="G34" s="13"/>
      <c r="H34" s="13"/>
      <c r="I34" s="13"/>
      <c r="J34" s="13"/>
      <c r="K34" s="7"/>
      <c r="L34" s="4" t="s">
        <v>48</v>
      </c>
      <c r="M34" s="13"/>
      <c r="N34" s="13"/>
      <c r="O34" s="13"/>
      <c r="P34" s="13"/>
      <c r="Q34" s="13"/>
      <c r="R34" s="13"/>
      <c r="S34" s="7"/>
    </row>
    <row r="35" spans="1:19">
      <c r="A35" s="4" t="s">
        <v>55</v>
      </c>
      <c r="B35" s="9">
        <f>18.5*A51</f>
        <v>469.9</v>
      </c>
      <c r="C35" s="25">
        <v>-0.953125</v>
      </c>
      <c r="D35" s="21">
        <f>(B35-C12)/(C11-C12)*(E11-E12)+E12</f>
        <v>-0.97515944947969113</v>
      </c>
      <c r="E35" s="7" t="s">
        <v>29</v>
      </c>
      <c r="F35" s="4" t="s">
        <v>11</v>
      </c>
      <c r="G35" s="13"/>
      <c r="H35" s="13"/>
      <c r="I35" s="13"/>
      <c r="J35" s="13"/>
      <c r="K35" s="7"/>
      <c r="L35" s="4"/>
      <c r="M35" s="13"/>
      <c r="N35" s="13"/>
      <c r="O35" s="13"/>
      <c r="P35" s="13"/>
      <c r="Q35" s="13"/>
      <c r="R35" s="13"/>
      <c r="S35" s="7"/>
    </row>
    <row r="36" spans="1:19">
      <c r="A36" s="4" t="s">
        <v>57</v>
      </c>
      <c r="B36" s="9">
        <v>460</v>
      </c>
      <c r="C36" s="25">
        <v>0</v>
      </c>
      <c r="D36" s="21">
        <f>(B36-C12)/(C11-C12)*(E11-E12)+E12</f>
        <v>-0.97097266164992224</v>
      </c>
      <c r="E36" s="7" t="s">
        <v>29</v>
      </c>
      <c r="F36" t="s">
        <v>25</v>
      </c>
      <c r="G36" s="13"/>
      <c r="H36" s="13"/>
      <c r="I36" s="13"/>
      <c r="J36" s="13"/>
      <c r="K36" s="7"/>
      <c r="L36" s="4" t="s">
        <v>52</v>
      </c>
      <c r="M36" s="13"/>
      <c r="N36" s="13"/>
      <c r="O36" s="13"/>
      <c r="P36" s="13"/>
      <c r="Q36" s="13"/>
      <c r="R36" s="13"/>
      <c r="S36" s="7"/>
    </row>
    <row r="37" spans="1:19">
      <c r="A37" s="4" t="s">
        <v>1</v>
      </c>
      <c r="B37" s="9">
        <v>420</v>
      </c>
      <c r="C37" s="25">
        <v>-0.97</v>
      </c>
      <c r="D37" s="21">
        <f>(B37-C14)/(C13-C14)*(E13-E14)+E14</f>
        <v>-0.94402021499578403</v>
      </c>
      <c r="E37" s="7" t="s">
        <v>28</v>
      </c>
      <c r="F37" s="4" t="s">
        <v>26</v>
      </c>
      <c r="G37" s="13"/>
      <c r="H37" s="13"/>
      <c r="I37" s="13"/>
      <c r="J37" s="13"/>
      <c r="K37" s="7"/>
      <c r="L37" s="4"/>
      <c r="M37" s="13"/>
      <c r="N37" s="13"/>
      <c r="O37" s="13"/>
      <c r="P37" s="13"/>
      <c r="Q37" s="13"/>
      <c r="R37" s="13"/>
      <c r="S37" s="7"/>
    </row>
    <row r="38" spans="1:19">
      <c r="A38" s="4" t="s">
        <v>2</v>
      </c>
      <c r="B38" s="9">
        <f>16.3*A51</f>
        <v>414.02</v>
      </c>
      <c r="C38" s="25">
        <v>-1</v>
      </c>
      <c r="D38" s="21">
        <f>(B38-C14)/(C13-C14)*(E13-E14)+E14</f>
        <v>-0.94014770057066122</v>
      </c>
      <c r="E38" s="7" t="s">
        <v>28</v>
      </c>
      <c r="F38" s="4" t="s">
        <v>38</v>
      </c>
      <c r="G38" s="13"/>
      <c r="H38" s="13"/>
      <c r="I38" s="13"/>
      <c r="J38" s="13"/>
      <c r="K38" s="7"/>
      <c r="L38" s="4" t="s">
        <v>42</v>
      </c>
      <c r="M38" s="13"/>
      <c r="N38" s="13"/>
      <c r="O38" s="13"/>
      <c r="P38" s="13"/>
      <c r="Q38" s="13"/>
      <c r="R38" s="13"/>
      <c r="S38" s="7"/>
    </row>
    <row r="39" spans="1:19">
      <c r="A39" s="4" t="s">
        <v>53</v>
      </c>
      <c r="B39" s="9">
        <v>410</v>
      </c>
      <c r="C39" s="25">
        <v>-0.96699999999999997</v>
      </c>
      <c r="D39" s="21">
        <f>(B39-C14)/(C13-C14)*(E13-E14)+E14</f>
        <v>-0.9375444383651439</v>
      </c>
      <c r="E39" s="7" t="s">
        <v>28</v>
      </c>
      <c r="F39" s="4" t="s">
        <v>22</v>
      </c>
      <c r="G39" s="13"/>
      <c r="H39" s="13"/>
      <c r="I39" s="13"/>
      <c r="J39" s="13"/>
      <c r="K39" s="7"/>
      <c r="L39" s="4"/>
      <c r="M39" s="13"/>
      <c r="N39" s="13"/>
      <c r="O39" s="13"/>
      <c r="P39" s="13"/>
      <c r="Q39" s="13"/>
      <c r="R39" s="13"/>
      <c r="S39" s="7"/>
    </row>
    <row r="40" spans="1:19">
      <c r="A40" s="4" t="s">
        <v>14</v>
      </c>
      <c r="B40" s="9">
        <v>410</v>
      </c>
      <c r="C40" s="25">
        <v>-0.94</v>
      </c>
      <c r="D40" s="21">
        <f>(B40-C14)/(C13-C14)*(E13-E14)+E14</f>
        <v>-0.9375444383651439</v>
      </c>
      <c r="E40" s="7" t="s">
        <v>27</v>
      </c>
      <c r="F40" s="4" t="s">
        <v>15</v>
      </c>
      <c r="G40" s="13"/>
      <c r="H40" s="13"/>
      <c r="I40" s="13"/>
      <c r="J40" s="13"/>
      <c r="K40" s="7"/>
      <c r="L40" s="4"/>
      <c r="M40" s="13"/>
      <c r="N40" s="13"/>
      <c r="O40" s="13"/>
      <c r="P40" s="13"/>
      <c r="Q40" s="13"/>
      <c r="R40" s="13"/>
      <c r="S40" s="7"/>
    </row>
    <row r="41" spans="1:19">
      <c r="A41" s="4" t="s">
        <v>12</v>
      </c>
      <c r="B41" s="9">
        <f>A14*A51</f>
        <v>406.4</v>
      </c>
      <c r="C41" s="25">
        <v>-0.94</v>
      </c>
      <c r="D41" s="21">
        <f>E14</f>
        <v>-0.9352131587781134</v>
      </c>
      <c r="E41" s="7" t="s">
        <v>27</v>
      </c>
      <c r="F41" s="4" t="s">
        <v>13</v>
      </c>
      <c r="G41" s="13"/>
      <c r="H41" s="13"/>
      <c r="I41" s="13"/>
      <c r="J41" s="13"/>
      <c r="K41" s="7"/>
      <c r="L41" s="4"/>
      <c r="M41" s="13"/>
      <c r="N41" s="13"/>
      <c r="O41" s="13"/>
      <c r="P41" s="13"/>
      <c r="Q41" s="13"/>
      <c r="R41" s="13"/>
      <c r="S41" s="7"/>
    </row>
    <row r="42" spans="1:19">
      <c r="A42" s="4" t="s">
        <v>6</v>
      </c>
      <c r="B42" s="9">
        <f>14.5*A51</f>
        <v>368.29999999999995</v>
      </c>
      <c r="C42" s="25">
        <v>-0.94</v>
      </c>
      <c r="D42" s="21">
        <f>(B42-C16)/(C15-C16)*(E15-E16)+E16</f>
        <v>-0.90886203423967771</v>
      </c>
      <c r="E42" s="7" t="s">
        <v>28</v>
      </c>
      <c r="F42" s="4"/>
      <c r="G42" s="13"/>
      <c r="H42" s="13"/>
      <c r="I42" s="13"/>
      <c r="J42" s="13"/>
      <c r="K42" s="7"/>
      <c r="L42" s="4" t="s">
        <v>45</v>
      </c>
      <c r="M42" s="13"/>
      <c r="N42" s="13"/>
      <c r="O42" s="13"/>
      <c r="P42" s="13"/>
      <c r="Q42" s="13"/>
      <c r="R42" s="13"/>
      <c r="S42" s="7"/>
    </row>
    <row r="43" spans="1:19">
      <c r="A43" s="4" t="s">
        <v>58</v>
      </c>
      <c r="B43" s="9">
        <v>325</v>
      </c>
      <c r="C43" s="25">
        <v>-0.98</v>
      </c>
      <c r="D43" s="21">
        <f>(B43-C18)/(C17-C18)*(E17-E18)+E18</f>
        <v>-0.887643953871325</v>
      </c>
      <c r="E43" s="7" t="s">
        <v>28</v>
      </c>
      <c r="F43" s="4" t="s">
        <v>25</v>
      </c>
      <c r="G43" s="13"/>
      <c r="H43" s="13"/>
      <c r="I43" s="13"/>
      <c r="J43" s="13"/>
      <c r="K43" s="7"/>
      <c r="L43" s="4"/>
      <c r="M43" s="13"/>
      <c r="N43" s="13"/>
      <c r="O43" s="13"/>
      <c r="P43" s="13"/>
      <c r="Q43" s="13"/>
      <c r="R43" s="13"/>
      <c r="S43" s="7"/>
    </row>
    <row r="44" spans="1:19">
      <c r="A44" s="4" t="s">
        <v>4</v>
      </c>
      <c r="B44" s="9">
        <v>318</v>
      </c>
      <c r="C44" s="25">
        <v>0</v>
      </c>
      <c r="D44" s="21">
        <f>(B44-C18)/(C17-C18)*(E17-E18)+E18</f>
        <v>-0.88551619869268605</v>
      </c>
      <c r="E44" s="7" t="s">
        <v>29</v>
      </c>
      <c r="F44" s="4" t="s">
        <v>17</v>
      </c>
      <c r="G44" s="13"/>
      <c r="H44" s="13"/>
      <c r="I44" s="13"/>
      <c r="J44" s="13"/>
      <c r="K44" s="7"/>
      <c r="L44" s="4"/>
      <c r="M44" s="13"/>
      <c r="N44" s="13"/>
      <c r="O44" s="13"/>
      <c r="P44" s="13"/>
      <c r="Q44" s="13"/>
      <c r="R44" s="13"/>
      <c r="S44" s="7"/>
    </row>
    <row r="45" spans="1:19">
      <c r="A45" s="4" t="s">
        <v>56</v>
      </c>
      <c r="B45" s="9">
        <f>10.3*A51</f>
        <v>261.62</v>
      </c>
      <c r="C45" s="25">
        <v>-0.89790000000000003</v>
      </c>
      <c r="D45" s="21">
        <f>(B45-C20)/(C19-C20)*(E19-E20)+E20</f>
        <v>-0.87123195703256118</v>
      </c>
      <c r="E45" s="7" t="s">
        <v>28</v>
      </c>
      <c r="F45" s="4" t="s">
        <v>20</v>
      </c>
      <c r="G45" s="13"/>
      <c r="H45" s="13"/>
      <c r="I45" s="13"/>
      <c r="J45" s="13"/>
      <c r="K45" s="7"/>
      <c r="L45" s="4"/>
      <c r="M45" s="13"/>
      <c r="N45" s="13"/>
      <c r="O45" s="13"/>
      <c r="P45" s="13"/>
      <c r="Q45" s="13"/>
      <c r="R45" s="13"/>
      <c r="S45" s="7"/>
    </row>
    <row r="46" spans="1:19">
      <c r="A46" s="4" t="s">
        <v>5</v>
      </c>
      <c r="B46" s="9">
        <f>10*A51</f>
        <v>254</v>
      </c>
      <c r="C46" s="25">
        <v>-0.89790000000000003</v>
      </c>
      <c r="D46" s="21">
        <f>E20</f>
        <v>-0.86438402148371929</v>
      </c>
      <c r="E46" s="7" t="s">
        <v>28</v>
      </c>
      <c r="F46" s="4"/>
      <c r="G46" s="13"/>
      <c r="H46" s="13"/>
      <c r="I46" s="13"/>
      <c r="J46" s="13"/>
      <c r="K46" s="7"/>
      <c r="L46" s="4" t="s">
        <v>46</v>
      </c>
      <c r="M46" s="13"/>
      <c r="N46" s="13"/>
      <c r="O46" s="13"/>
      <c r="P46" s="13"/>
      <c r="Q46" s="13"/>
      <c r="R46" s="13"/>
      <c r="S46" s="7"/>
    </row>
    <row r="47" spans="1:19" ht="15.75" thickBot="1">
      <c r="A47" s="5" t="s">
        <v>3</v>
      </c>
      <c r="B47" s="16">
        <v>228</v>
      </c>
      <c r="C47" s="26">
        <v>0</v>
      </c>
      <c r="D47" s="22">
        <f>E21</f>
        <v>-0.82108089963074848</v>
      </c>
      <c r="E47" s="6" t="s">
        <v>29</v>
      </c>
      <c r="F47" s="5" t="s">
        <v>18</v>
      </c>
      <c r="G47" s="12"/>
      <c r="H47" s="12"/>
      <c r="I47" s="12"/>
      <c r="J47" s="12"/>
      <c r="K47" s="6"/>
      <c r="L47" s="5"/>
      <c r="M47" s="12"/>
      <c r="N47" s="12"/>
      <c r="O47" s="12"/>
      <c r="P47" s="12"/>
      <c r="Q47" s="12"/>
      <c r="R47" s="12"/>
      <c r="S47" s="6"/>
    </row>
    <row r="48" spans="1:19">
      <c r="A48" t="s">
        <v>63</v>
      </c>
    </row>
    <row r="51" spans="1:2">
      <c r="A51">
        <f>2.54*10</f>
        <v>25.4</v>
      </c>
      <c r="B51" t="s">
        <v>49</v>
      </c>
    </row>
  </sheetData>
  <pageMargins left="0.7" right="0.7" top="0.75" bottom="0.75" header="0.3" footer="0.3"/>
  <pageSetup paperSize="0" orientation="portrait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List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2021-09-10T12:24:06Z</dcterms:modified>
</cp:coreProperties>
</file>